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 activeTab="2"/>
  </bookViews>
  <sheets>
    <sheet name="Wrg kelontong" sheetId="1" r:id="rId1"/>
    <sheet name="Sp Perah-awal" sheetId="2" r:id="rId2"/>
    <sheet name="SP-hrga pakan naik" sheetId="3" r:id="rId3"/>
    <sheet name="SP bunga naik" sheetId="4" r:id="rId4"/>
  </sheets>
  <calcPr calcId="124519"/>
</workbook>
</file>

<file path=xl/calcChain.xml><?xml version="1.0" encoding="utf-8"?>
<calcChain xmlns="http://schemas.openxmlformats.org/spreadsheetml/2006/main">
  <c r="C29" i="3"/>
  <c r="D24"/>
  <c r="D23"/>
  <c r="D28"/>
  <c r="C27"/>
  <c r="E24"/>
  <c r="F24"/>
  <c r="G24"/>
  <c r="H24"/>
  <c r="I24"/>
  <c r="J24"/>
  <c r="C24"/>
  <c r="N22"/>
  <c r="K22"/>
  <c r="D22"/>
  <c r="E22"/>
  <c r="F22"/>
  <c r="G22"/>
  <c r="H22"/>
  <c r="I22"/>
  <c r="J22"/>
  <c r="C22"/>
  <c r="K17"/>
  <c r="D17"/>
  <c r="E17"/>
  <c r="F17"/>
  <c r="G17"/>
  <c r="H17"/>
  <c r="I17"/>
  <c r="J17"/>
  <c r="C17"/>
  <c r="J16"/>
  <c r="I16"/>
  <c r="H16"/>
  <c r="G16"/>
  <c r="F16"/>
  <c r="E16"/>
  <c r="D16"/>
  <c r="C16"/>
  <c r="C25"/>
  <c r="C17" i="1"/>
  <c r="C16"/>
  <c r="C14"/>
  <c r="I3"/>
  <c r="C13"/>
  <c r="C11"/>
  <c r="C10"/>
  <c r="G9"/>
  <c r="E4"/>
  <c r="E3"/>
  <c r="C24" i="4"/>
  <c r="D27"/>
  <c r="D26"/>
  <c r="C26"/>
  <c r="C25"/>
  <c r="C23"/>
  <c r="J19"/>
  <c r="J18"/>
  <c r="J20" s="1"/>
  <c r="I18"/>
  <c r="I20" s="1"/>
  <c r="I21" s="1"/>
  <c r="H18"/>
  <c r="H20" s="1"/>
  <c r="G18"/>
  <c r="G20" s="1"/>
  <c r="G21" s="1"/>
  <c r="F18"/>
  <c r="F20" s="1"/>
  <c r="E18"/>
  <c r="E20" s="1"/>
  <c r="E21" s="1"/>
  <c r="D18"/>
  <c r="D20" s="1"/>
  <c r="J13"/>
  <c r="I13"/>
  <c r="H13"/>
  <c r="G13"/>
  <c r="F13"/>
  <c r="E13"/>
  <c r="D13"/>
  <c r="J12"/>
  <c r="I12"/>
  <c r="H12"/>
  <c r="G12"/>
  <c r="F12"/>
  <c r="E12"/>
  <c r="D12"/>
  <c r="J11"/>
  <c r="J14" s="1"/>
  <c r="J15" s="1"/>
  <c r="I11"/>
  <c r="I14" s="1"/>
  <c r="I15" s="1"/>
  <c r="H11"/>
  <c r="H14" s="1"/>
  <c r="H15" s="1"/>
  <c r="G11"/>
  <c r="G14" s="1"/>
  <c r="G15" s="1"/>
  <c r="F11"/>
  <c r="F14" s="1"/>
  <c r="F15" s="1"/>
  <c r="E11"/>
  <c r="E14" s="1"/>
  <c r="E15" s="1"/>
  <c r="D11"/>
  <c r="D14" s="1"/>
  <c r="D15" s="1"/>
  <c r="C8"/>
  <c r="C9" s="1"/>
  <c r="D15" i="3"/>
  <c r="H11"/>
  <c r="G11"/>
  <c r="F11"/>
  <c r="F14" s="1"/>
  <c r="F15" s="1"/>
  <c r="E11"/>
  <c r="D11"/>
  <c r="J20"/>
  <c r="J19"/>
  <c r="J21" s="1"/>
  <c r="I19"/>
  <c r="I21" s="1"/>
  <c r="H19"/>
  <c r="H21" s="1"/>
  <c r="G19"/>
  <c r="G21" s="1"/>
  <c r="F19"/>
  <c r="F21" s="1"/>
  <c r="E19"/>
  <c r="E21" s="1"/>
  <c r="D19"/>
  <c r="D21" s="1"/>
  <c r="J13"/>
  <c r="I13"/>
  <c r="H13"/>
  <c r="G13"/>
  <c r="F13"/>
  <c r="E13"/>
  <c r="D13"/>
  <c r="J12"/>
  <c r="I12"/>
  <c r="H12"/>
  <c r="G12"/>
  <c r="G14" s="1"/>
  <c r="G15" s="1"/>
  <c r="F12"/>
  <c r="E12"/>
  <c r="E14" s="1"/>
  <c r="E15" s="1"/>
  <c r="D12"/>
  <c r="D14"/>
  <c r="C8"/>
  <c r="C9" s="1"/>
  <c r="C27" i="2"/>
  <c r="E27"/>
  <c r="D27"/>
  <c r="D21"/>
  <c r="C26"/>
  <c r="D26"/>
  <c r="C25"/>
  <c r="K15"/>
  <c r="K20"/>
  <c r="C24"/>
  <c r="C23"/>
  <c r="E21"/>
  <c r="F21"/>
  <c r="G21"/>
  <c r="H21"/>
  <c r="I21"/>
  <c r="J21"/>
  <c r="C21"/>
  <c r="E18"/>
  <c r="F18"/>
  <c r="G18"/>
  <c r="H18"/>
  <c r="I18"/>
  <c r="J18"/>
  <c r="E20"/>
  <c r="F20"/>
  <c r="G20"/>
  <c r="H20"/>
  <c r="I20"/>
  <c r="J20"/>
  <c r="D20"/>
  <c r="E15"/>
  <c r="F15"/>
  <c r="G15"/>
  <c r="H15"/>
  <c r="I15"/>
  <c r="J15"/>
  <c r="D15"/>
  <c r="E11"/>
  <c r="F11"/>
  <c r="G11"/>
  <c r="H11"/>
  <c r="I11"/>
  <c r="J11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J19"/>
  <c r="D18"/>
  <c r="D12"/>
  <c r="D11"/>
  <c r="D14" s="1"/>
  <c r="C15"/>
  <c r="C9"/>
  <c r="D13"/>
  <c r="C8"/>
  <c r="C15" i="1"/>
  <c r="L8"/>
  <c r="K4"/>
  <c r="K3"/>
  <c r="G4"/>
  <c r="G5"/>
  <c r="G6"/>
  <c r="G7"/>
  <c r="G3"/>
  <c r="F3"/>
  <c r="E7"/>
  <c r="E6"/>
  <c r="E5"/>
  <c r="D3"/>
  <c r="L3"/>
  <c r="K7"/>
  <c r="K6"/>
  <c r="K5"/>
  <c r="J7"/>
  <c r="J3"/>
  <c r="I7"/>
  <c r="I6"/>
  <c r="I5"/>
  <c r="I4"/>
  <c r="H4"/>
  <c r="H5"/>
  <c r="H6"/>
  <c r="H7"/>
  <c r="H3"/>
  <c r="D4"/>
  <c r="J4" s="1"/>
  <c r="D5"/>
  <c r="F5" s="1"/>
  <c r="D6"/>
  <c r="L6" s="1"/>
  <c r="D7"/>
  <c r="F7" s="1"/>
  <c r="C15" i="4" l="1"/>
  <c r="D21"/>
  <c r="K20"/>
  <c r="F21"/>
  <c r="H21"/>
  <c r="J21"/>
  <c r="I11" i="3"/>
  <c r="J11" s="1"/>
  <c r="J14" s="1"/>
  <c r="J15" s="1"/>
  <c r="H14"/>
  <c r="H15" s="1"/>
  <c r="H23" s="1"/>
  <c r="I14"/>
  <c r="I15" s="1"/>
  <c r="C15"/>
  <c r="K21"/>
  <c r="E23"/>
  <c r="G23"/>
  <c r="I23"/>
  <c r="F23"/>
  <c r="J23"/>
  <c r="J5" i="1"/>
  <c r="F6"/>
  <c r="J6"/>
  <c r="L7"/>
  <c r="J8"/>
  <c r="L5"/>
  <c r="L4"/>
  <c r="F4"/>
  <c r="H9"/>
  <c r="C12"/>
  <c r="C21" i="4" l="1"/>
  <c r="K15"/>
  <c r="E27"/>
  <c r="C27" s="1"/>
  <c r="D29" i="3"/>
  <c r="E29" s="1"/>
  <c r="C28"/>
  <c r="C23"/>
  <c r="K15"/>
  <c r="F8" i="1"/>
  <c r="C26" i="3" l="1"/>
</calcChain>
</file>

<file path=xl/sharedStrings.xml><?xml version="1.0" encoding="utf-8"?>
<sst xmlns="http://schemas.openxmlformats.org/spreadsheetml/2006/main" count="121" uniqueCount="57">
  <si>
    <t>t</t>
  </si>
  <si>
    <t>Bt</t>
  </si>
  <si>
    <t>Ct</t>
  </si>
  <si>
    <t>Bt-Ct</t>
  </si>
  <si>
    <t>DF (i=12%)</t>
  </si>
  <si>
    <t>Bt-Ct * DF</t>
  </si>
  <si>
    <t>NPV</t>
  </si>
  <si>
    <t>Jumlah</t>
  </si>
  <si>
    <t>Bt*DF</t>
  </si>
  <si>
    <t>Ct*DF</t>
  </si>
  <si>
    <t>Gros B/C</t>
  </si>
  <si>
    <t>Proyek wrg kelontong</t>
  </si>
  <si>
    <t>NPV +</t>
  </si>
  <si>
    <t>NPV -</t>
  </si>
  <si>
    <t>NET B/C</t>
  </si>
  <si>
    <t>DF (i=15%)</t>
  </si>
  <si>
    <t>Bt-Ct*DF</t>
  </si>
  <si>
    <t>DF (i=20%)</t>
  </si>
  <si>
    <t>IRR</t>
  </si>
  <si>
    <t>PV/K</t>
  </si>
  <si>
    <t>PP</t>
  </si>
  <si>
    <t>NPV rata2</t>
  </si>
  <si>
    <t>ANALISIS KELAYAKAN FINANSIAL USAHATERNAK SAPI PERAH</t>
  </si>
  <si>
    <t>Tahun</t>
  </si>
  <si>
    <t>Biaya</t>
  </si>
  <si>
    <t>No</t>
  </si>
  <si>
    <t>Kandang</t>
  </si>
  <si>
    <t>Peralatan</t>
  </si>
  <si>
    <t>Ternak induk</t>
  </si>
  <si>
    <t>A</t>
  </si>
  <si>
    <t>INVESTASI</t>
  </si>
  <si>
    <t>B</t>
  </si>
  <si>
    <t>Operasional</t>
  </si>
  <si>
    <t>1. Pakan</t>
  </si>
  <si>
    <t>2. TK</t>
  </si>
  <si>
    <t>3. Kesehatan ternak</t>
  </si>
  <si>
    <t>Total Biaya</t>
  </si>
  <si>
    <t>C</t>
  </si>
  <si>
    <t>PENERIMAAN</t>
  </si>
  <si>
    <t>1. Susu</t>
  </si>
  <si>
    <t>2. Penjualan ternak afkir</t>
  </si>
  <si>
    <t>Total</t>
  </si>
  <si>
    <t>D</t>
  </si>
  <si>
    <t>PENDAPATAN</t>
  </si>
  <si>
    <t>1. NPV (Rp)</t>
  </si>
  <si>
    <t>2. IRR (%)</t>
  </si>
  <si>
    <t>3. BCR</t>
  </si>
  <si>
    <t>4. NET BCR</t>
  </si>
  <si>
    <t>5. Payback Periode (th)</t>
  </si>
  <si>
    <t>1. Skenario awal</t>
  </si>
  <si>
    <t>1. Skenario 1 : Harga pakan naik 10 % per tahun</t>
  </si>
  <si>
    <t>TR*DF</t>
  </si>
  <si>
    <t xml:space="preserve">Gros B/C </t>
  </si>
  <si>
    <t>NB*df</t>
  </si>
  <si>
    <t>TC*DF</t>
  </si>
  <si>
    <t>DF (i = 12%)</t>
  </si>
  <si>
    <t>3. Gros BCR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</si>
</sst>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#,##0.0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4" fontId="0" fillId="0" borderId="0" xfId="0" applyNumberFormat="1"/>
    <xf numFmtId="8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opLeftCell="B9" zoomScale="200" zoomScaleNormal="200" workbookViewId="0">
      <selection activeCell="D16" sqref="D16"/>
    </sheetView>
  </sheetViews>
  <sheetFormatPr defaultRowHeight="15"/>
  <cols>
    <col min="4" max="4" width="9.140625" customWidth="1"/>
    <col min="5" max="5" width="10.5703125" customWidth="1"/>
    <col min="6" max="6" width="10" customWidth="1"/>
    <col min="7" max="8" width="9.140625" customWidth="1"/>
  </cols>
  <sheetData>
    <row r="1" spans="1:12">
      <c r="A1" t="s">
        <v>11</v>
      </c>
    </row>
    <row r="2" spans="1:12">
      <c r="A2" s="2" t="s">
        <v>0</v>
      </c>
      <c r="B2" s="2" t="s">
        <v>1</v>
      </c>
      <c r="C2" s="2" t="s">
        <v>2</v>
      </c>
      <c r="D2" s="2" t="s">
        <v>3</v>
      </c>
      <c r="E2" t="s">
        <v>4</v>
      </c>
      <c r="F2" t="s">
        <v>5</v>
      </c>
      <c r="G2" s="2" t="s">
        <v>8</v>
      </c>
      <c r="H2" s="2" t="s">
        <v>9</v>
      </c>
      <c r="I2" s="2" t="s">
        <v>15</v>
      </c>
      <c r="J2" s="2" t="s">
        <v>16</v>
      </c>
      <c r="K2" s="2" t="s">
        <v>17</v>
      </c>
      <c r="L2" s="2" t="s">
        <v>16</v>
      </c>
    </row>
    <row r="3" spans="1:12">
      <c r="A3">
        <v>1</v>
      </c>
      <c r="B3">
        <v>0</v>
      </c>
      <c r="C3">
        <v>100</v>
      </c>
      <c r="D3">
        <f>B3-C3</f>
        <v>-100</v>
      </c>
      <c r="E3">
        <f>1/(1.12)^A3</f>
        <v>0.89285714285714279</v>
      </c>
      <c r="F3">
        <f>D3*E3</f>
        <v>-89.285714285714278</v>
      </c>
      <c r="G3">
        <f>B3*E3</f>
        <v>0</v>
      </c>
      <c r="H3">
        <f>C3*E3</f>
        <v>89.285714285714278</v>
      </c>
      <c r="I3">
        <f>1/(1.15)^1</f>
        <v>0.86956521739130443</v>
      </c>
      <c r="J3">
        <f>D3*I3</f>
        <v>-86.956521739130437</v>
      </c>
      <c r="K3">
        <f>1/(1.2)^1</f>
        <v>0.83333333333333337</v>
      </c>
      <c r="L3">
        <f>D3*K3</f>
        <v>-83.333333333333343</v>
      </c>
    </row>
    <row r="4" spans="1:12">
      <c r="A4">
        <v>2</v>
      </c>
      <c r="B4">
        <v>20</v>
      </c>
      <c r="D4">
        <f t="shared" ref="D4:D7" si="0">B4-C4</f>
        <v>20</v>
      </c>
      <c r="E4">
        <f>1/(1.12)^A4</f>
        <v>0.79719387755102034</v>
      </c>
      <c r="F4">
        <f t="shared" ref="F4:F7" si="1">D4*E4</f>
        <v>15.943877551020407</v>
      </c>
      <c r="G4">
        <f t="shared" ref="G4:G7" si="2">B4*E4</f>
        <v>15.943877551020407</v>
      </c>
      <c r="H4">
        <f t="shared" ref="H4:H7" si="3">C4*E4</f>
        <v>0</v>
      </c>
      <c r="I4">
        <f>1/(1.15)^2</f>
        <v>0.7561436672967865</v>
      </c>
      <c r="J4">
        <f t="shared" ref="J4:J7" si="4">D4*I4</f>
        <v>15.12287334593573</v>
      </c>
      <c r="K4">
        <f>1/(1.2)^2</f>
        <v>0.69444444444444442</v>
      </c>
      <c r="L4">
        <f t="shared" ref="L4:L7" si="5">D4*K4</f>
        <v>13.888888888888889</v>
      </c>
    </row>
    <row r="5" spans="1:12">
      <c r="A5">
        <v>3</v>
      </c>
      <c r="B5">
        <v>40</v>
      </c>
      <c r="D5">
        <f t="shared" si="0"/>
        <v>40</v>
      </c>
      <c r="E5">
        <f>1/(1.12)^A5</f>
        <v>0.71178024781341087</v>
      </c>
      <c r="F5">
        <f t="shared" si="1"/>
        <v>28.471209912536434</v>
      </c>
      <c r="G5">
        <f t="shared" si="2"/>
        <v>28.471209912536434</v>
      </c>
      <c r="H5">
        <f t="shared" si="3"/>
        <v>0</v>
      </c>
      <c r="I5">
        <f>1/(1.15)^3</f>
        <v>0.65751623243198831</v>
      </c>
      <c r="J5">
        <f t="shared" si="4"/>
        <v>26.300649297279534</v>
      </c>
      <c r="K5">
        <f>1/(1.2)^3</f>
        <v>0.57870370370370372</v>
      </c>
      <c r="L5">
        <f t="shared" si="5"/>
        <v>23.148148148148149</v>
      </c>
    </row>
    <row r="6" spans="1:12">
      <c r="A6">
        <v>4</v>
      </c>
      <c r="B6">
        <v>50</v>
      </c>
      <c r="D6">
        <f t="shared" si="0"/>
        <v>50</v>
      </c>
      <c r="E6">
        <f>1/(1.12)^A6</f>
        <v>0.63551807840483121</v>
      </c>
      <c r="F6">
        <f t="shared" si="1"/>
        <v>31.775903920241561</v>
      </c>
      <c r="G6">
        <f t="shared" si="2"/>
        <v>31.775903920241561</v>
      </c>
      <c r="H6">
        <f t="shared" si="3"/>
        <v>0</v>
      </c>
      <c r="I6">
        <f>1/(1.15)^4</f>
        <v>0.57175324559303342</v>
      </c>
      <c r="J6">
        <f t="shared" si="4"/>
        <v>28.587662279651671</v>
      </c>
      <c r="K6">
        <f>1/(1.2)^4</f>
        <v>0.48225308641975312</v>
      </c>
      <c r="L6">
        <f t="shared" si="5"/>
        <v>24.112654320987655</v>
      </c>
    </row>
    <row r="7" spans="1:12">
      <c r="A7">
        <v>5</v>
      </c>
      <c r="B7">
        <v>40</v>
      </c>
      <c r="D7">
        <f t="shared" si="0"/>
        <v>40</v>
      </c>
      <c r="E7">
        <f>1/(1.12)^A7</f>
        <v>0.56742685571859919</v>
      </c>
      <c r="F7">
        <f t="shared" si="1"/>
        <v>22.697074228743968</v>
      </c>
      <c r="G7">
        <f t="shared" si="2"/>
        <v>22.697074228743968</v>
      </c>
      <c r="H7">
        <f t="shared" si="3"/>
        <v>0</v>
      </c>
      <c r="I7">
        <f>1/(1.15)^5</f>
        <v>0.49717673529828987</v>
      </c>
      <c r="J7">
        <f t="shared" si="4"/>
        <v>19.887069411931595</v>
      </c>
      <c r="K7">
        <f>1/(1.2)^5</f>
        <v>0.4018775720164609</v>
      </c>
      <c r="L7">
        <f t="shared" si="5"/>
        <v>16.075102880658434</v>
      </c>
    </row>
    <row r="8" spans="1:12">
      <c r="A8">
        <v>1</v>
      </c>
      <c r="B8" s="1" t="s">
        <v>6</v>
      </c>
      <c r="F8" s="1">
        <f>SUM(F3:F7)</f>
        <v>9.6023513268280958</v>
      </c>
      <c r="J8" s="1">
        <f>SUM(J3:J7)</f>
        <v>2.9417325956680926</v>
      </c>
      <c r="L8" s="1">
        <f>SUM(L3:L7)</f>
        <v>-6.1085390946502152</v>
      </c>
    </row>
    <row r="9" spans="1:12">
      <c r="B9" t="s">
        <v>7</v>
      </c>
      <c r="G9" s="1">
        <f>SUM(G3:G7)</f>
        <v>98.888065612542377</v>
      </c>
      <c r="H9" s="1">
        <f>SUM(H3:H7)</f>
        <v>89.285714285714278</v>
      </c>
    </row>
    <row r="10" spans="1:12">
      <c r="A10">
        <v>2</v>
      </c>
      <c r="B10" s="1" t="s">
        <v>10</v>
      </c>
      <c r="C10">
        <f>G9/H9</f>
        <v>1.1075463348604748</v>
      </c>
    </row>
    <row r="11" spans="1:12">
      <c r="B11" t="s">
        <v>12</v>
      </c>
      <c r="C11">
        <f>SUM(F4:F7)</f>
        <v>98.888065612542377</v>
      </c>
    </row>
    <row r="12" spans="1:12">
      <c r="B12" t="s">
        <v>13</v>
      </c>
      <c r="C12">
        <f>F3</f>
        <v>-89.285714285714278</v>
      </c>
    </row>
    <row r="13" spans="1:12">
      <c r="A13">
        <v>3</v>
      </c>
      <c r="B13" s="1" t="s">
        <v>14</v>
      </c>
      <c r="C13">
        <f>C11/-C12</f>
        <v>1.1075463348604748</v>
      </c>
    </row>
    <row r="14" spans="1:12">
      <c r="A14">
        <v>4</v>
      </c>
      <c r="B14" s="1" t="s">
        <v>18</v>
      </c>
      <c r="C14">
        <f>15+(J8/(J8-L8))*(20-15)</f>
        <v>16.625217836728076</v>
      </c>
    </row>
    <row r="15" spans="1:12">
      <c r="A15">
        <v>5</v>
      </c>
      <c r="B15" s="1" t="s">
        <v>19</v>
      </c>
      <c r="C15">
        <f>SUM(F4:F7)/-F3</f>
        <v>1.1075463348604748</v>
      </c>
    </row>
    <row r="16" spans="1:12">
      <c r="A16">
        <v>6</v>
      </c>
      <c r="B16" s="1" t="s">
        <v>20</v>
      </c>
      <c r="C16">
        <f>C3/C17</f>
        <v>4.0449774957400555</v>
      </c>
    </row>
    <row r="17" spans="2:3">
      <c r="B17" s="1" t="s">
        <v>21</v>
      </c>
      <c r="C17">
        <f>AVERAGE(F4:F7)</f>
        <v>24.722016403135594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7"/>
  <sheetViews>
    <sheetView zoomScale="200" zoomScaleNormal="200" workbookViewId="0">
      <selection activeCell="C30" sqref="C30"/>
    </sheetView>
  </sheetViews>
  <sheetFormatPr defaultRowHeight="15"/>
  <cols>
    <col min="1" max="1" width="7.28515625" customWidth="1"/>
    <col min="2" max="2" width="27.42578125" customWidth="1"/>
    <col min="3" max="3" width="12.42578125" style="3" customWidth="1"/>
    <col min="4" max="4" width="13" style="3" customWidth="1"/>
    <col min="5" max="5" width="15.5703125" bestFit="1" customWidth="1"/>
    <col min="6" max="9" width="11.28515625" bestFit="1" customWidth="1"/>
    <col min="10" max="10" width="13.85546875" customWidth="1"/>
    <col min="11" max="11" width="11.5703125" bestFit="1" customWidth="1"/>
  </cols>
  <sheetData>
    <row r="1" spans="1:11">
      <c r="A1" t="s">
        <v>22</v>
      </c>
    </row>
    <row r="2" spans="1:11">
      <c r="A2" t="s">
        <v>49</v>
      </c>
    </row>
    <row r="3" spans="1:11" ht="15.75">
      <c r="A3" s="5" t="s">
        <v>25</v>
      </c>
      <c r="B3" s="5" t="s">
        <v>24</v>
      </c>
      <c r="C3" s="6" t="s">
        <v>23</v>
      </c>
      <c r="D3" s="6"/>
      <c r="E3" s="5"/>
      <c r="F3" s="5"/>
      <c r="G3" s="5"/>
      <c r="H3" s="5"/>
      <c r="I3" s="5"/>
    </row>
    <row r="4" spans="1:11" ht="15.75">
      <c r="A4" s="5"/>
      <c r="B4" s="5"/>
      <c r="C4" s="6">
        <v>0</v>
      </c>
      <c r="D4" s="6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/>
    </row>
    <row r="5" spans="1:11" ht="15.75">
      <c r="A5" s="5" t="s">
        <v>29</v>
      </c>
      <c r="B5" s="5" t="s">
        <v>30</v>
      </c>
      <c r="C5" s="6"/>
      <c r="D5" s="6"/>
      <c r="E5" s="5"/>
      <c r="F5" s="5"/>
      <c r="G5" s="5"/>
      <c r="H5" s="5"/>
      <c r="I5" s="5"/>
    </row>
    <row r="6" spans="1:11" ht="15.75">
      <c r="A6" s="5">
        <v>1</v>
      </c>
      <c r="B6" s="5" t="s">
        <v>26</v>
      </c>
      <c r="C6" s="6">
        <v>15000000</v>
      </c>
      <c r="D6" s="6"/>
      <c r="E6" s="5"/>
      <c r="F6" s="5"/>
      <c r="G6" s="5"/>
      <c r="H6" s="5"/>
      <c r="I6" s="5"/>
    </row>
    <row r="7" spans="1:11" ht="15.75">
      <c r="A7" s="5">
        <v>2</v>
      </c>
      <c r="B7" s="5" t="s">
        <v>27</v>
      </c>
      <c r="C7" s="6">
        <v>1000000</v>
      </c>
      <c r="D7" s="6"/>
      <c r="E7" s="5"/>
      <c r="F7" s="5"/>
      <c r="G7" s="5"/>
      <c r="H7" s="5"/>
      <c r="I7" s="5"/>
    </row>
    <row r="8" spans="1:11" ht="15.75">
      <c r="A8" s="5">
        <v>3</v>
      </c>
      <c r="B8" s="5" t="s">
        <v>28</v>
      </c>
      <c r="C8" s="6">
        <f>10*8000000</f>
        <v>80000000</v>
      </c>
      <c r="D8" s="6"/>
      <c r="E8" s="5"/>
      <c r="F8" s="5"/>
      <c r="G8" s="5"/>
      <c r="H8" s="5"/>
      <c r="I8" s="5"/>
    </row>
    <row r="9" spans="1:11" ht="15.75">
      <c r="A9" s="5"/>
      <c r="B9" s="7" t="s">
        <v>7</v>
      </c>
      <c r="C9" s="6">
        <f>SUM(C6:C8)</f>
        <v>96000000</v>
      </c>
      <c r="D9" s="6"/>
      <c r="E9" s="5"/>
      <c r="F9" s="5"/>
      <c r="G9" s="5"/>
      <c r="H9" s="5"/>
      <c r="I9" s="5"/>
    </row>
    <row r="10" spans="1:11" ht="15.75">
      <c r="A10" s="5" t="s">
        <v>31</v>
      </c>
      <c r="B10" s="5" t="s">
        <v>32</v>
      </c>
      <c r="C10" s="6"/>
      <c r="D10" s="6"/>
      <c r="E10" s="5"/>
      <c r="F10" s="5"/>
      <c r="G10" s="5"/>
      <c r="H10" s="5"/>
      <c r="I10" s="5"/>
      <c r="K10" t="s">
        <v>7</v>
      </c>
    </row>
    <row r="11" spans="1:11" ht="15.75">
      <c r="A11" s="5"/>
      <c r="B11" s="5" t="s">
        <v>33</v>
      </c>
      <c r="C11" s="6"/>
      <c r="D11" s="4">
        <f>7*10*365*1000</f>
        <v>25550000</v>
      </c>
      <c r="E11" s="4">
        <f t="shared" ref="E11:J11" si="0">7*10*365*1000</f>
        <v>25550000</v>
      </c>
      <c r="F11" s="4">
        <f t="shared" si="0"/>
        <v>25550000</v>
      </c>
      <c r="G11" s="4">
        <f t="shared" si="0"/>
        <v>25550000</v>
      </c>
      <c r="H11" s="4">
        <f t="shared" si="0"/>
        <v>25550000</v>
      </c>
      <c r="I11" s="4">
        <f t="shared" si="0"/>
        <v>25550000</v>
      </c>
      <c r="J11" s="4">
        <f t="shared" si="0"/>
        <v>25550000</v>
      </c>
    </row>
    <row r="12" spans="1:11" ht="15.75">
      <c r="A12" s="5"/>
      <c r="B12" s="5" t="s">
        <v>34</v>
      </c>
      <c r="C12" s="6"/>
      <c r="D12" s="4">
        <f>2*12*750000</f>
        <v>18000000</v>
      </c>
      <c r="E12" s="4">
        <f t="shared" ref="E12:J12" si="1">2*12*750000</f>
        <v>18000000</v>
      </c>
      <c r="F12" s="4">
        <f t="shared" si="1"/>
        <v>18000000</v>
      </c>
      <c r="G12" s="4">
        <f t="shared" si="1"/>
        <v>18000000</v>
      </c>
      <c r="H12" s="4">
        <f t="shared" si="1"/>
        <v>18000000</v>
      </c>
      <c r="I12" s="4">
        <f t="shared" si="1"/>
        <v>18000000</v>
      </c>
      <c r="J12" s="4">
        <f t="shared" si="1"/>
        <v>18000000</v>
      </c>
    </row>
    <row r="13" spans="1:11" ht="15.75">
      <c r="A13" s="5"/>
      <c r="B13" s="5" t="s">
        <v>35</v>
      </c>
      <c r="C13" s="6"/>
      <c r="D13" s="4">
        <f>5000*10*12</f>
        <v>600000</v>
      </c>
      <c r="E13" s="4">
        <f t="shared" ref="E13:J13" si="2">5000*10*12</f>
        <v>600000</v>
      </c>
      <c r="F13" s="4">
        <f t="shared" si="2"/>
        <v>600000</v>
      </c>
      <c r="G13" s="4">
        <f t="shared" si="2"/>
        <v>600000</v>
      </c>
      <c r="H13" s="4">
        <f t="shared" si="2"/>
        <v>600000</v>
      </c>
      <c r="I13" s="4">
        <f t="shared" si="2"/>
        <v>600000</v>
      </c>
      <c r="J13" s="4">
        <f t="shared" si="2"/>
        <v>600000</v>
      </c>
    </row>
    <row r="14" spans="1:11" ht="15.75">
      <c r="A14" s="5"/>
      <c r="B14" s="7" t="s">
        <v>7</v>
      </c>
      <c r="C14" s="6"/>
      <c r="D14" s="6">
        <f>SUM(D11:D13)</f>
        <v>44150000</v>
      </c>
      <c r="E14" s="6">
        <f t="shared" ref="E14:J14" si="3">SUM(E11:E13)</f>
        <v>44150000</v>
      </c>
      <c r="F14" s="6">
        <f t="shared" si="3"/>
        <v>44150000</v>
      </c>
      <c r="G14" s="6">
        <f t="shared" si="3"/>
        <v>44150000</v>
      </c>
      <c r="H14" s="6">
        <f t="shared" si="3"/>
        <v>44150000</v>
      </c>
      <c r="I14" s="6">
        <f t="shared" si="3"/>
        <v>44150000</v>
      </c>
      <c r="J14" s="6">
        <f t="shared" si="3"/>
        <v>44150000</v>
      </c>
    </row>
    <row r="15" spans="1:11" ht="15.75">
      <c r="A15" s="5"/>
      <c r="B15" s="7" t="s">
        <v>36</v>
      </c>
      <c r="C15" s="6">
        <f>C14+C9</f>
        <v>96000000</v>
      </c>
      <c r="D15" s="6">
        <f>D14+D9</f>
        <v>44150000</v>
      </c>
      <c r="E15" s="6">
        <f t="shared" ref="E15:J15" si="4">E14+E9</f>
        <v>44150000</v>
      </c>
      <c r="F15" s="6">
        <f t="shared" si="4"/>
        <v>44150000</v>
      </c>
      <c r="G15" s="6">
        <f t="shared" si="4"/>
        <v>44150000</v>
      </c>
      <c r="H15" s="6">
        <f t="shared" si="4"/>
        <v>44150000</v>
      </c>
      <c r="I15" s="6">
        <f t="shared" si="4"/>
        <v>44150000</v>
      </c>
      <c r="J15" s="6">
        <f t="shared" si="4"/>
        <v>44150000</v>
      </c>
      <c r="K15" s="3">
        <f>SUM(C15:J15)</f>
        <v>405050000</v>
      </c>
    </row>
    <row r="16" spans="1:11" ht="15.75">
      <c r="A16" s="5"/>
      <c r="B16" s="5"/>
      <c r="C16" s="6"/>
      <c r="D16" s="6"/>
      <c r="E16" s="5"/>
      <c r="F16" s="5"/>
      <c r="G16" s="5"/>
      <c r="H16" s="5"/>
      <c r="I16" s="5"/>
    </row>
    <row r="17" spans="1:11" ht="15.75">
      <c r="A17" s="5" t="s">
        <v>37</v>
      </c>
      <c r="B17" s="5" t="s">
        <v>38</v>
      </c>
      <c r="C17" s="6"/>
      <c r="D17" s="6"/>
      <c r="E17" s="5"/>
      <c r="F17" s="5"/>
      <c r="G17" s="5"/>
      <c r="H17" s="5"/>
      <c r="I17" s="5"/>
    </row>
    <row r="18" spans="1:11" ht="15.75">
      <c r="A18" s="5"/>
      <c r="B18" s="5" t="s">
        <v>39</v>
      </c>
      <c r="C18" s="6"/>
      <c r="D18" s="6">
        <f>10*10*270*3500</f>
        <v>94500000</v>
      </c>
      <c r="E18" s="6">
        <f t="shared" ref="E18:J18" si="5">10*10*270*3500</f>
        <v>94500000</v>
      </c>
      <c r="F18" s="6">
        <f t="shared" si="5"/>
        <v>94500000</v>
      </c>
      <c r="G18" s="6">
        <f t="shared" si="5"/>
        <v>94500000</v>
      </c>
      <c r="H18" s="6">
        <f t="shared" si="5"/>
        <v>94500000</v>
      </c>
      <c r="I18" s="6">
        <f t="shared" si="5"/>
        <v>94500000</v>
      </c>
      <c r="J18" s="6">
        <f t="shared" si="5"/>
        <v>94500000</v>
      </c>
    </row>
    <row r="19" spans="1:11" ht="15.75">
      <c r="A19" s="5"/>
      <c r="B19" s="5" t="s">
        <v>40</v>
      </c>
      <c r="C19" s="6"/>
      <c r="D19" s="6"/>
      <c r="E19" s="5"/>
      <c r="F19" s="5"/>
      <c r="G19" s="5"/>
      <c r="H19" s="5"/>
      <c r="I19" s="5"/>
      <c r="J19">
        <f>10*5000000</f>
        <v>50000000</v>
      </c>
    </row>
    <row r="20" spans="1:11" ht="15.75">
      <c r="A20" s="5"/>
      <c r="B20" s="7" t="s">
        <v>41</v>
      </c>
      <c r="C20" s="6"/>
      <c r="D20" s="6">
        <f>D18+D19</f>
        <v>94500000</v>
      </c>
      <c r="E20" s="6">
        <f t="shared" ref="E20:J20" si="6">E18+E19</f>
        <v>94500000</v>
      </c>
      <c r="F20" s="6">
        <f t="shared" si="6"/>
        <v>94500000</v>
      </c>
      <c r="G20" s="6">
        <f t="shared" si="6"/>
        <v>94500000</v>
      </c>
      <c r="H20" s="6">
        <f t="shared" si="6"/>
        <v>94500000</v>
      </c>
      <c r="I20" s="6">
        <f t="shared" si="6"/>
        <v>94500000</v>
      </c>
      <c r="J20" s="6">
        <f t="shared" si="6"/>
        <v>144500000</v>
      </c>
      <c r="K20" s="3">
        <f>SUM(D20:J20)</f>
        <v>711500000</v>
      </c>
    </row>
    <row r="21" spans="1:11" ht="15.75">
      <c r="A21" s="5" t="s">
        <v>42</v>
      </c>
      <c r="B21" s="5" t="s">
        <v>43</v>
      </c>
      <c r="C21" s="6">
        <f>C20-C15</f>
        <v>-96000000</v>
      </c>
      <c r="D21" s="6">
        <f>D20-D15</f>
        <v>50350000</v>
      </c>
      <c r="E21" s="6">
        <f t="shared" ref="E21:J21" si="7">E20-E15</f>
        <v>50350000</v>
      </c>
      <c r="F21" s="6">
        <f t="shared" si="7"/>
        <v>50350000</v>
      </c>
      <c r="G21" s="6">
        <f t="shared" si="7"/>
        <v>50350000</v>
      </c>
      <c r="H21" s="6">
        <f t="shared" si="7"/>
        <v>50350000</v>
      </c>
      <c r="I21" s="6">
        <f t="shared" si="7"/>
        <v>50350000</v>
      </c>
      <c r="J21" s="6">
        <f t="shared" si="7"/>
        <v>100350000</v>
      </c>
    </row>
    <row r="22" spans="1:11" ht="15.75">
      <c r="A22" s="5"/>
      <c r="B22" s="5"/>
      <c r="C22" s="6">
        <v>-2</v>
      </c>
      <c r="D22" s="6">
        <v>-3</v>
      </c>
      <c r="E22" s="5"/>
      <c r="F22" s="5"/>
      <c r="G22" s="5"/>
      <c r="H22" s="5"/>
      <c r="I22" s="5"/>
    </row>
    <row r="23" spans="1:11" ht="15.75">
      <c r="A23" s="5"/>
      <c r="B23" s="5" t="s">
        <v>44</v>
      </c>
      <c r="C23" s="6">
        <f>NPV(0.12,C21:J21)</f>
        <v>139645180.80214846</v>
      </c>
      <c r="D23" s="6"/>
      <c r="E23" s="5"/>
      <c r="F23" s="5"/>
      <c r="G23" s="5"/>
      <c r="H23" s="5"/>
      <c r="I23" s="5"/>
    </row>
    <row r="24" spans="1:11" ht="15.75">
      <c r="B24" s="5" t="s">
        <v>45</v>
      </c>
      <c r="C24" s="8">
        <f>IRR(C21:J21)*100</f>
        <v>51.001942822008836</v>
      </c>
    </row>
    <row r="25" spans="1:11" ht="15.75">
      <c r="B25" s="5" t="s">
        <v>46</v>
      </c>
      <c r="C25" s="8">
        <f>K20/K15</f>
        <v>1.7565732625601778</v>
      </c>
    </row>
    <row r="26" spans="1:11" ht="15.75">
      <c r="B26" s="5" t="s">
        <v>47</v>
      </c>
      <c r="C26" s="8">
        <f>D26/-C21</f>
        <v>2.6291937760250663</v>
      </c>
      <c r="D26" s="3">
        <f>NPV(0.12,D21:J21)</f>
        <v>252402602.49840635</v>
      </c>
      <c r="E26" s="9"/>
    </row>
    <row r="27" spans="1:11" ht="15.75">
      <c r="B27" s="5" t="s">
        <v>48</v>
      </c>
      <c r="C27" s="8">
        <f>C9/E27</f>
        <v>2.6624131183601518</v>
      </c>
      <c r="D27" s="3">
        <f>NPV(0.12,D21:J21)</f>
        <v>252402602.49840635</v>
      </c>
      <c r="E27">
        <f>D27/7</f>
        <v>36057514.642629482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150" zoomScaleNormal="150" workbookViewId="0">
      <selection activeCell="C14" sqref="C14"/>
    </sheetView>
  </sheetViews>
  <sheetFormatPr defaultRowHeight="15"/>
  <cols>
    <col min="1" max="1" width="6.7109375" customWidth="1"/>
    <col min="2" max="2" width="28.140625" customWidth="1"/>
    <col min="3" max="3" width="12.5703125" bestFit="1" customWidth="1"/>
    <col min="4" max="4" width="11.42578125" bestFit="1" customWidth="1"/>
    <col min="5" max="5" width="12.140625" bestFit="1" customWidth="1"/>
    <col min="6" max="9" width="11.42578125" bestFit="1" customWidth="1"/>
    <col min="10" max="10" width="12.5703125" bestFit="1" customWidth="1"/>
    <col min="11" max="11" width="11.28515625" bestFit="1" customWidth="1"/>
  </cols>
  <sheetData>
    <row r="1" spans="1:11">
      <c r="A1" t="s">
        <v>22</v>
      </c>
      <c r="C1" s="3"/>
      <c r="D1" s="3"/>
    </row>
    <row r="2" spans="1:11">
      <c r="A2" t="s">
        <v>50</v>
      </c>
      <c r="C2" s="3"/>
      <c r="D2" s="3"/>
    </row>
    <row r="3" spans="1:11" ht="15.75">
      <c r="A3" s="5" t="s">
        <v>25</v>
      </c>
      <c r="B3" s="5" t="s">
        <v>24</v>
      </c>
      <c r="C3" s="6" t="s">
        <v>23</v>
      </c>
      <c r="D3" s="6"/>
      <c r="E3" s="5"/>
      <c r="F3" s="5"/>
      <c r="G3" s="5"/>
      <c r="H3" s="5"/>
      <c r="I3" s="5"/>
    </row>
    <row r="4" spans="1:11" ht="15.75">
      <c r="A4" s="5"/>
      <c r="B4" s="5"/>
      <c r="C4" s="6">
        <v>0</v>
      </c>
      <c r="D4" s="6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/>
    </row>
    <row r="5" spans="1:11" ht="15.75">
      <c r="A5" s="5" t="s">
        <v>29</v>
      </c>
      <c r="B5" s="5" t="s">
        <v>30</v>
      </c>
      <c r="C5" s="6"/>
      <c r="D5" s="6"/>
      <c r="E5" s="5"/>
      <c r="F5" s="5"/>
      <c r="G5" s="5"/>
      <c r="H5" s="5"/>
      <c r="I5" s="5"/>
    </row>
    <row r="6" spans="1:11" ht="15.75">
      <c r="A6" s="5">
        <v>1</v>
      </c>
      <c r="B6" s="5" t="s">
        <v>26</v>
      </c>
      <c r="C6" s="6">
        <v>15000000</v>
      </c>
      <c r="D6" s="6"/>
      <c r="E6" s="5"/>
      <c r="F6" s="5"/>
      <c r="G6" s="5"/>
      <c r="H6" s="5"/>
      <c r="I6" s="5"/>
    </row>
    <row r="7" spans="1:11" ht="15.75">
      <c r="A7" s="5">
        <v>2</v>
      </c>
      <c r="B7" s="5" t="s">
        <v>27</v>
      </c>
      <c r="C7" s="6">
        <v>1000000</v>
      </c>
      <c r="D7" s="6"/>
      <c r="E7" s="5"/>
      <c r="F7" s="5"/>
      <c r="G7" s="5"/>
      <c r="H7" s="5"/>
      <c r="I7" s="5"/>
    </row>
    <row r="8" spans="1:11" ht="15.75">
      <c r="A8" s="5">
        <v>3</v>
      </c>
      <c r="B8" s="5" t="s">
        <v>28</v>
      </c>
      <c r="C8" s="6">
        <f>10*8000000</f>
        <v>80000000</v>
      </c>
      <c r="D8" s="6"/>
      <c r="E8" s="5"/>
      <c r="F8" s="5"/>
      <c r="G8" s="5"/>
      <c r="H8" s="5"/>
      <c r="I8" s="5"/>
    </row>
    <row r="9" spans="1:11" ht="15.75">
      <c r="A9" s="5"/>
      <c r="B9" s="7" t="s">
        <v>7</v>
      </c>
      <c r="C9" s="6">
        <f>SUM(C6:C8)</f>
        <v>96000000</v>
      </c>
      <c r="D9" s="6"/>
      <c r="E9" s="5"/>
      <c r="F9" s="5"/>
      <c r="G9" s="5"/>
      <c r="H9" s="5"/>
      <c r="I9" s="5"/>
    </row>
    <row r="10" spans="1:11" ht="15.75">
      <c r="A10" s="5" t="s">
        <v>31</v>
      </c>
      <c r="B10" s="5" t="s">
        <v>32</v>
      </c>
      <c r="C10" s="6"/>
      <c r="D10" s="6"/>
      <c r="E10" s="5"/>
      <c r="F10" s="5"/>
      <c r="G10" s="5"/>
      <c r="H10" s="5"/>
      <c r="I10" s="5"/>
      <c r="K10" t="s">
        <v>7</v>
      </c>
    </row>
    <row r="11" spans="1:11" ht="15.75">
      <c r="A11" s="5"/>
      <c r="B11" s="5" t="s">
        <v>33</v>
      </c>
      <c r="C11" s="6"/>
      <c r="D11" s="4">
        <f>7*10*365*1000</f>
        <v>25550000</v>
      </c>
      <c r="E11" s="4">
        <f>D11+0.1*D11</f>
        <v>28105000</v>
      </c>
      <c r="F11" s="4">
        <f>E11+0.1*E11</f>
        <v>30915500</v>
      </c>
      <c r="G11" s="4">
        <f>F11+0.1*F11</f>
        <v>34007050</v>
      </c>
      <c r="H11" s="4">
        <f>G11+0.1*G11</f>
        <v>37407755</v>
      </c>
      <c r="I11" s="4">
        <f t="shared" ref="I11:J11" si="0">H11+0.1*H11</f>
        <v>41148530.5</v>
      </c>
      <c r="J11" s="4">
        <f t="shared" si="0"/>
        <v>45263383.549999997</v>
      </c>
    </row>
    <row r="12" spans="1:11" ht="15.75">
      <c r="A12" s="5"/>
      <c r="B12" s="5" t="s">
        <v>34</v>
      </c>
      <c r="C12" s="6"/>
      <c r="D12" s="4">
        <f>2*12*750000</f>
        <v>18000000</v>
      </c>
      <c r="E12" s="4">
        <f t="shared" ref="E12:J12" si="1">2*12*750000</f>
        <v>18000000</v>
      </c>
      <c r="F12" s="4">
        <f t="shared" si="1"/>
        <v>18000000</v>
      </c>
      <c r="G12" s="4">
        <f t="shared" si="1"/>
        <v>18000000</v>
      </c>
      <c r="H12" s="4">
        <f t="shared" si="1"/>
        <v>18000000</v>
      </c>
      <c r="I12" s="4">
        <f t="shared" si="1"/>
        <v>18000000</v>
      </c>
      <c r="J12" s="4">
        <f t="shared" si="1"/>
        <v>18000000</v>
      </c>
    </row>
    <row r="13" spans="1:11" ht="15.75">
      <c r="A13" s="5"/>
      <c r="B13" s="5" t="s">
        <v>35</v>
      </c>
      <c r="C13" s="6"/>
      <c r="D13" s="4">
        <f>5000*10*12</f>
        <v>600000</v>
      </c>
      <c r="E13" s="4">
        <f t="shared" ref="E13:J13" si="2">5000*10*12</f>
        <v>600000</v>
      </c>
      <c r="F13" s="4">
        <f t="shared" si="2"/>
        <v>600000</v>
      </c>
      <c r="G13" s="4">
        <f t="shared" si="2"/>
        <v>600000</v>
      </c>
      <c r="H13" s="4">
        <f t="shared" si="2"/>
        <v>600000</v>
      </c>
      <c r="I13" s="4">
        <f t="shared" si="2"/>
        <v>600000</v>
      </c>
      <c r="J13" s="4">
        <f t="shared" si="2"/>
        <v>600000</v>
      </c>
    </row>
    <row r="14" spans="1:11" ht="15.75">
      <c r="A14" s="5"/>
      <c r="B14" s="7" t="s">
        <v>7</v>
      </c>
      <c r="C14" s="6"/>
      <c r="D14" s="6">
        <f>SUM(D11:D13)</f>
        <v>44150000</v>
      </c>
      <c r="E14" s="6">
        <f t="shared" ref="E14:J14" si="3">SUM(E11:E13)</f>
        <v>46705000</v>
      </c>
      <c r="F14" s="6">
        <f t="shared" si="3"/>
        <v>49515500</v>
      </c>
      <c r="G14" s="6">
        <f t="shared" si="3"/>
        <v>52607050</v>
      </c>
      <c r="H14" s="6">
        <f t="shared" si="3"/>
        <v>56007755</v>
      </c>
      <c r="I14" s="6">
        <f t="shared" si="3"/>
        <v>59748530.5</v>
      </c>
      <c r="J14" s="6">
        <f t="shared" si="3"/>
        <v>63863383.549999997</v>
      </c>
    </row>
    <row r="15" spans="1:11" ht="15.75">
      <c r="A15" s="5"/>
      <c r="B15" s="7" t="s">
        <v>36</v>
      </c>
      <c r="C15" s="6">
        <f>C14+C9</f>
        <v>96000000</v>
      </c>
      <c r="D15" s="6">
        <f>D14+D9</f>
        <v>44150000</v>
      </c>
      <c r="E15" s="6">
        <f t="shared" ref="E15:J15" si="4">E14+E9</f>
        <v>46705000</v>
      </c>
      <c r="F15" s="6">
        <f t="shared" si="4"/>
        <v>49515500</v>
      </c>
      <c r="G15" s="6">
        <f t="shared" si="4"/>
        <v>52607050</v>
      </c>
      <c r="H15" s="6">
        <f t="shared" si="4"/>
        <v>56007755</v>
      </c>
      <c r="I15" s="6">
        <f t="shared" si="4"/>
        <v>59748530.5</v>
      </c>
      <c r="J15" s="6">
        <f t="shared" si="4"/>
        <v>63863383.549999997</v>
      </c>
      <c r="K15" s="3">
        <f>SUM(C15:J15)</f>
        <v>468597219.05000001</v>
      </c>
    </row>
    <row r="16" spans="1:11" ht="15.75">
      <c r="A16" s="5"/>
      <c r="B16" s="5" t="s">
        <v>55</v>
      </c>
      <c r="C16" s="6">
        <f>1/(1.12)^0</f>
        <v>1</v>
      </c>
      <c r="D16" s="10">
        <f>1/(1.12)^1</f>
        <v>0.89285714285714279</v>
      </c>
      <c r="E16" s="10">
        <f>1/(1.12)^2</f>
        <v>0.79719387755102034</v>
      </c>
      <c r="F16" s="10">
        <f>1/(1.12)^3</f>
        <v>0.71178024781341087</v>
      </c>
      <c r="G16" s="10">
        <f>1/(1.12)^4</f>
        <v>0.63551807840483121</v>
      </c>
      <c r="H16" s="10">
        <f>1/(1.12)^5</f>
        <v>0.56742685571859919</v>
      </c>
      <c r="I16" s="10">
        <f>1/(1.12)^6</f>
        <v>0.50663112117732068</v>
      </c>
      <c r="J16" s="10">
        <f>1/(1.12)^7</f>
        <v>0.45234921533689343</v>
      </c>
    </row>
    <row r="17" spans="1:14" ht="15.75">
      <c r="A17" s="5"/>
      <c r="B17" s="5" t="s">
        <v>54</v>
      </c>
      <c r="C17" s="6">
        <f>C15*C16</f>
        <v>96000000</v>
      </c>
      <c r="D17" s="6">
        <f t="shared" ref="D17:J17" si="5">D15*D16</f>
        <v>39419642.857142851</v>
      </c>
      <c r="E17" s="6">
        <f t="shared" si="5"/>
        <v>37232940.051020406</v>
      </c>
      <c r="F17" s="6">
        <f t="shared" si="5"/>
        <v>35244154.860604949</v>
      </c>
      <c r="G17" s="6">
        <f t="shared" si="5"/>
        <v>33432731.326546874</v>
      </c>
      <c r="H17" s="6">
        <f t="shared" si="5"/>
        <v>31780304.315507654</v>
      </c>
      <c r="I17" s="6">
        <f t="shared" si="5"/>
        <v>30270464.99591234</v>
      </c>
      <c r="J17" s="6">
        <f t="shared" si="5"/>
        <v>28888551.437601566</v>
      </c>
      <c r="K17" s="3">
        <f>SUM(C17:J17)</f>
        <v>332268789.84433663</v>
      </c>
    </row>
    <row r="18" spans="1:14" ht="15.75">
      <c r="A18" s="5" t="s">
        <v>37</v>
      </c>
      <c r="B18" s="5" t="s">
        <v>38</v>
      </c>
      <c r="C18" s="6"/>
      <c r="D18" s="6"/>
      <c r="E18" s="5"/>
      <c r="F18" s="5"/>
      <c r="G18" s="5"/>
      <c r="H18" s="5"/>
      <c r="I18" s="5"/>
    </row>
    <row r="19" spans="1:14" ht="15.75">
      <c r="A19" s="5"/>
      <c r="B19" s="5" t="s">
        <v>39</v>
      </c>
      <c r="C19" s="6"/>
      <c r="D19" s="6">
        <f>10*10*270*3500</f>
        <v>94500000</v>
      </c>
      <c r="E19" s="6">
        <f t="shared" ref="E19:J19" si="6">10*10*270*3500</f>
        <v>94500000</v>
      </c>
      <c r="F19" s="6">
        <f t="shared" si="6"/>
        <v>94500000</v>
      </c>
      <c r="G19" s="6">
        <f t="shared" si="6"/>
        <v>94500000</v>
      </c>
      <c r="H19" s="6">
        <f t="shared" si="6"/>
        <v>94500000</v>
      </c>
      <c r="I19" s="6">
        <f t="shared" si="6"/>
        <v>94500000</v>
      </c>
      <c r="J19" s="6">
        <f t="shared" si="6"/>
        <v>94500000</v>
      </c>
    </row>
    <row r="20" spans="1:14" ht="15.75">
      <c r="A20" s="5"/>
      <c r="B20" s="5" t="s">
        <v>40</v>
      </c>
      <c r="C20" s="6"/>
      <c r="D20" s="6"/>
      <c r="E20" s="5"/>
      <c r="F20" s="5"/>
      <c r="G20" s="5"/>
      <c r="H20" s="5"/>
      <c r="I20" s="5"/>
      <c r="J20">
        <f>10*5000000</f>
        <v>50000000</v>
      </c>
    </row>
    <row r="21" spans="1:14" ht="15.75">
      <c r="A21" s="5"/>
      <c r="B21" s="7" t="s">
        <v>41</v>
      </c>
      <c r="C21" s="6"/>
      <c r="D21" s="6">
        <f>D19+D20</f>
        <v>94500000</v>
      </c>
      <c r="E21" s="6">
        <f t="shared" ref="E21:J21" si="7">E19+E20</f>
        <v>94500000</v>
      </c>
      <c r="F21" s="6">
        <f t="shared" si="7"/>
        <v>94500000</v>
      </c>
      <c r="G21" s="6">
        <f t="shared" si="7"/>
        <v>94500000</v>
      </c>
      <c r="H21" s="6">
        <f t="shared" si="7"/>
        <v>94500000</v>
      </c>
      <c r="I21" s="6">
        <f t="shared" si="7"/>
        <v>94500000</v>
      </c>
      <c r="J21" s="6">
        <f t="shared" si="7"/>
        <v>144500000</v>
      </c>
      <c r="K21" s="3">
        <f>SUM(D21:J21)</f>
        <v>711500000</v>
      </c>
    </row>
    <row r="22" spans="1:14" ht="15.75">
      <c r="A22" s="5"/>
      <c r="B22" s="7" t="s">
        <v>51</v>
      </c>
      <c r="C22" s="6">
        <f>C21*C16</f>
        <v>0</v>
      </c>
      <c r="D22" s="6">
        <f t="shared" ref="D22:J22" si="8">D21*D16</f>
        <v>84375000</v>
      </c>
      <c r="E22" s="6">
        <f t="shared" si="8"/>
        <v>75334821.428571418</v>
      </c>
      <c r="F22" s="6">
        <f t="shared" si="8"/>
        <v>67263233.418367326</v>
      </c>
      <c r="G22" s="6">
        <f t="shared" si="8"/>
        <v>60056458.409256548</v>
      </c>
      <c r="H22" s="6">
        <f t="shared" si="8"/>
        <v>53621837.865407623</v>
      </c>
      <c r="I22" s="6">
        <f t="shared" si="8"/>
        <v>47876640.951256804</v>
      </c>
      <c r="J22" s="6">
        <f t="shared" si="8"/>
        <v>65364461.616181098</v>
      </c>
      <c r="K22" s="3">
        <f>SUM(C22:J22)</f>
        <v>453892453.68904084</v>
      </c>
      <c r="M22" t="s">
        <v>52</v>
      </c>
      <c r="N22">
        <f>K22/K17</f>
        <v>1.3660399879919003</v>
      </c>
    </row>
    <row r="23" spans="1:14" ht="15.75">
      <c r="A23" s="5" t="s">
        <v>42</v>
      </c>
      <c r="B23" s="5" t="s">
        <v>43</v>
      </c>
      <c r="C23" s="6">
        <f>C21-C15</f>
        <v>-96000000</v>
      </c>
      <c r="D23" s="6">
        <f>D21-D15</f>
        <v>50350000</v>
      </c>
      <c r="E23" s="6">
        <f t="shared" ref="E23:J23" si="9">E21-E15</f>
        <v>47795000</v>
      </c>
      <c r="F23" s="6">
        <f t="shared" si="9"/>
        <v>44984500</v>
      </c>
      <c r="G23" s="6">
        <f t="shared" si="9"/>
        <v>41892950</v>
      </c>
      <c r="H23" s="6">
        <f t="shared" si="9"/>
        <v>38492245</v>
      </c>
      <c r="I23" s="6">
        <f t="shared" si="9"/>
        <v>34751469.5</v>
      </c>
      <c r="J23" s="6">
        <f t="shared" si="9"/>
        <v>80636616.450000003</v>
      </c>
    </row>
    <row r="24" spans="1:14" ht="15.75">
      <c r="A24" s="5"/>
      <c r="B24" s="5" t="s">
        <v>53</v>
      </c>
      <c r="C24" s="6">
        <f>C23*C16</f>
        <v>-96000000</v>
      </c>
      <c r="D24" s="6">
        <f>D23*D16</f>
        <v>44955357.142857142</v>
      </c>
      <c r="E24" s="6">
        <f t="shared" ref="E24:J24" si="10">E23*E16</f>
        <v>38101881.377551019</v>
      </c>
      <c r="F24" s="6">
        <f t="shared" si="10"/>
        <v>32019078.557762381</v>
      </c>
      <c r="G24" s="6">
        <f t="shared" si="10"/>
        <v>26623727.082709674</v>
      </c>
      <c r="H24" s="6">
        <f t="shared" si="10"/>
        <v>21841533.549899969</v>
      </c>
      <c r="I24" s="6">
        <f t="shared" si="10"/>
        <v>17606175.955344465</v>
      </c>
      <c r="J24" s="6">
        <f t="shared" si="10"/>
        <v>36475910.178579532</v>
      </c>
    </row>
    <row r="25" spans="1:14" ht="15.75">
      <c r="A25" s="5"/>
      <c r="B25" s="5" t="s">
        <v>44</v>
      </c>
      <c r="C25" s="6">
        <f>NPV(0.12,C23:J23)</f>
        <v>108592557.00420015</v>
      </c>
      <c r="D25" s="6"/>
      <c r="E25" s="5"/>
      <c r="F25" s="5"/>
      <c r="G25" s="5"/>
      <c r="H25" s="5"/>
      <c r="I25" s="5"/>
    </row>
    <row r="26" spans="1:14" ht="15.75">
      <c r="B26" s="5" t="s">
        <v>45</v>
      </c>
      <c r="C26" s="8">
        <f>IRR(C23:J23)*100</f>
        <v>45.811307270417792</v>
      </c>
      <c r="D26" s="3"/>
    </row>
    <row r="27" spans="1:14" ht="15.75">
      <c r="B27" s="5" t="s">
        <v>56</v>
      </c>
      <c r="C27" s="8">
        <f>N22</f>
        <v>1.3660399879919003</v>
      </c>
      <c r="D27" s="3"/>
    </row>
    <row r="28" spans="1:14" ht="15.75">
      <c r="B28" s="5" t="s">
        <v>47</v>
      </c>
      <c r="C28" s="8">
        <f>D28/-C23</f>
        <v>2.2669131650490018</v>
      </c>
      <c r="D28" s="3">
        <f>NPV(0.12,D23:J23)</f>
        <v>217623663.84470415</v>
      </c>
      <c r="E28" s="9"/>
    </row>
    <row r="29" spans="1:14" ht="15.75">
      <c r="B29" s="5" t="s">
        <v>48</v>
      </c>
      <c r="C29" s="8">
        <f>C9/E29</f>
        <v>3.0878994872521672</v>
      </c>
      <c r="D29" s="3">
        <f>NPV(0.12,D23:J23)</f>
        <v>217623663.84470415</v>
      </c>
      <c r="E29">
        <f>D29/7</f>
        <v>31089094.834957737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topLeftCell="B3" workbookViewId="0">
      <selection activeCell="C25" sqref="C25"/>
    </sheetView>
  </sheetViews>
  <sheetFormatPr defaultRowHeight="15"/>
  <cols>
    <col min="1" max="1" width="6.42578125" customWidth="1"/>
    <col min="2" max="2" width="25.85546875" customWidth="1"/>
    <col min="3" max="3" width="12.42578125" bestFit="1" customWidth="1"/>
    <col min="4" max="4" width="11.28515625" bestFit="1" customWidth="1"/>
    <col min="5" max="5" width="12" bestFit="1" customWidth="1"/>
    <col min="6" max="9" width="11.28515625" bestFit="1" customWidth="1"/>
    <col min="10" max="10" width="12.42578125" bestFit="1" customWidth="1"/>
    <col min="11" max="11" width="11.140625" bestFit="1" customWidth="1"/>
  </cols>
  <sheetData>
    <row r="1" spans="1:11">
      <c r="A1" t="s">
        <v>22</v>
      </c>
      <c r="C1" s="3"/>
      <c r="D1" s="3"/>
    </row>
    <row r="2" spans="1:11">
      <c r="A2" t="s">
        <v>49</v>
      </c>
      <c r="C2" s="3"/>
      <c r="D2" s="3"/>
    </row>
    <row r="3" spans="1:11" ht="15.75">
      <c r="A3" s="5" t="s">
        <v>25</v>
      </c>
      <c r="B3" s="5" t="s">
        <v>24</v>
      </c>
      <c r="C3" s="6" t="s">
        <v>23</v>
      </c>
      <c r="D3" s="6"/>
      <c r="E3" s="5"/>
      <c r="F3" s="5"/>
      <c r="G3" s="5"/>
      <c r="H3" s="5"/>
      <c r="I3" s="5"/>
    </row>
    <row r="4" spans="1:11" ht="15.75">
      <c r="A4" s="5"/>
      <c r="B4" s="5"/>
      <c r="C4" s="6">
        <v>0</v>
      </c>
      <c r="D4" s="6">
        <v>1</v>
      </c>
      <c r="E4" s="5">
        <v>2</v>
      </c>
      <c r="F4" s="5">
        <v>3</v>
      </c>
      <c r="G4" s="5">
        <v>4</v>
      </c>
      <c r="H4" s="5">
        <v>5</v>
      </c>
      <c r="I4" s="5">
        <v>6</v>
      </c>
      <c r="J4" s="5">
        <v>7</v>
      </c>
      <c r="K4" s="5"/>
    </row>
    <row r="5" spans="1:11" ht="15.75">
      <c r="A5" s="5" t="s">
        <v>29</v>
      </c>
      <c r="B5" s="5" t="s">
        <v>30</v>
      </c>
      <c r="C5" s="6"/>
      <c r="D5" s="6"/>
      <c r="E5" s="5"/>
      <c r="F5" s="5"/>
      <c r="G5" s="5"/>
      <c r="H5" s="5"/>
      <c r="I5" s="5"/>
    </row>
    <row r="6" spans="1:11" ht="15.75">
      <c r="A6" s="5">
        <v>1</v>
      </c>
      <c r="B6" s="5" t="s">
        <v>26</v>
      </c>
      <c r="C6" s="6">
        <v>15000000</v>
      </c>
      <c r="D6" s="6"/>
      <c r="E6" s="5"/>
      <c r="F6" s="5"/>
      <c r="G6" s="5"/>
      <c r="H6" s="5"/>
      <c r="I6" s="5"/>
    </row>
    <row r="7" spans="1:11" ht="15.75">
      <c r="A7" s="5">
        <v>2</v>
      </c>
      <c r="B7" s="5" t="s">
        <v>27</v>
      </c>
      <c r="C7" s="6">
        <v>1000000</v>
      </c>
      <c r="D7" s="6"/>
      <c r="E7" s="5"/>
      <c r="F7" s="5"/>
      <c r="G7" s="5"/>
      <c r="H7" s="5"/>
      <c r="I7" s="5"/>
    </row>
    <row r="8" spans="1:11" ht="15.75">
      <c r="A8" s="5">
        <v>3</v>
      </c>
      <c r="B8" s="5" t="s">
        <v>28</v>
      </c>
      <c r="C8" s="6">
        <f>10*8000000</f>
        <v>80000000</v>
      </c>
      <c r="D8" s="6"/>
      <c r="E8" s="5"/>
      <c r="F8" s="5"/>
      <c r="G8" s="5"/>
      <c r="H8" s="5"/>
      <c r="I8" s="5"/>
    </row>
    <row r="9" spans="1:11" ht="15.75">
      <c r="A9" s="5"/>
      <c r="B9" s="7" t="s">
        <v>7</v>
      </c>
      <c r="C9" s="6">
        <f>SUM(C6:C8)</f>
        <v>96000000</v>
      </c>
      <c r="D9" s="6"/>
      <c r="E9" s="5"/>
      <c r="F9" s="5"/>
      <c r="G9" s="5"/>
      <c r="H9" s="5"/>
      <c r="I9" s="5"/>
    </row>
    <row r="10" spans="1:11" ht="15.75">
      <c r="A10" s="5" t="s">
        <v>31</v>
      </c>
      <c r="B10" s="5" t="s">
        <v>32</v>
      </c>
      <c r="C10" s="6"/>
      <c r="D10" s="6"/>
      <c r="E10" s="5"/>
      <c r="F10" s="5"/>
      <c r="G10" s="5"/>
      <c r="H10" s="5"/>
      <c r="I10" s="5"/>
      <c r="K10" t="s">
        <v>7</v>
      </c>
    </row>
    <row r="11" spans="1:11" ht="15.75">
      <c r="A11" s="5"/>
      <c r="B11" s="5" t="s">
        <v>33</v>
      </c>
      <c r="C11" s="6"/>
      <c r="D11" s="4">
        <f>7*10*365*1000</f>
        <v>25550000</v>
      </c>
      <c r="E11" s="4">
        <f t="shared" ref="E11:J11" si="0">7*10*365*1000</f>
        <v>25550000</v>
      </c>
      <c r="F11" s="4">
        <f t="shared" si="0"/>
        <v>25550000</v>
      </c>
      <c r="G11" s="4">
        <f t="shared" si="0"/>
        <v>25550000</v>
      </c>
      <c r="H11" s="4">
        <f t="shared" si="0"/>
        <v>25550000</v>
      </c>
      <c r="I11" s="4">
        <f t="shared" si="0"/>
        <v>25550000</v>
      </c>
      <c r="J11" s="4">
        <f t="shared" si="0"/>
        <v>25550000</v>
      </c>
    </row>
    <row r="12" spans="1:11" ht="15.75">
      <c r="A12" s="5"/>
      <c r="B12" s="5" t="s">
        <v>34</v>
      </c>
      <c r="C12" s="6"/>
      <c r="D12" s="4">
        <f>2*12*750000</f>
        <v>18000000</v>
      </c>
      <c r="E12" s="4">
        <f t="shared" ref="E12:J12" si="1">2*12*750000</f>
        <v>18000000</v>
      </c>
      <c r="F12" s="4">
        <f t="shared" si="1"/>
        <v>18000000</v>
      </c>
      <c r="G12" s="4">
        <f t="shared" si="1"/>
        <v>18000000</v>
      </c>
      <c r="H12" s="4">
        <f t="shared" si="1"/>
        <v>18000000</v>
      </c>
      <c r="I12" s="4">
        <f t="shared" si="1"/>
        <v>18000000</v>
      </c>
      <c r="J12" s="4">
        <f t="shared" si="1"/>
        <v>18000000</v>
      </c>
    </row>
    <row r="13" spans="1:11" ht="15.75">
      <c r="A13" s="5"/>
      <c r="B13" s="5" t="s">
        <v>35</v>
      </c>
      <c r="C13" s="6"/>
      <c r="D13" s="4">
        <f>5000*10*12</f>
        <v>600000</v>
      </c>
      <c r="E13" s="4">
        <f t="shared" ref="E13:J13" si="2">5000*10*12</f>
        <v>600000</v>
      </c>
      <c r="F13" s="4">
        <f t="shared" si="2"/>
        <v>600000</v>
      </c>
      <c r="G13" s="4">
        <f t="shared" si="2"/>
        <v>600000</v>
      </c>
      <c r="H13" s="4">
        <f t="shared" si="2"/>
        <v>600000</v>
      </c>
      <c r="I13" s="4">
        <f t="shared" si="2"/>
        <v>600000</v>
      </c>
      <c r="J13" s="4">
        <f t="shared" si="2"/>
        <v>600000</v>
      </c>
    </row>
    <row r="14" spans="1:11" ht="15.75">
      <c r="A14" s="5"/>
      <c r="B14" s="7" t="s">
        <v>7</v>
      </c>
      <c r="C14" s="6"/>
      <c r="D14" s="6">
        <f>SUM(D11:D13)</f>
        <v>44150000</v>
      </c>
      <c r="E14" s="6">
        <f t="shared" ref="E14:J14" si="3">SUM(E11:E13)</f>
        <v>44150000</v>
      </c>
      <c r="F14" s="6">
        <f t="shared" si="3"/>
        <v>44150000</v>
      </c>
      <c r="G14" s="6">
        <f t="shared" si="3"/>
        <v>44150000</v>
      </c>
      <c r="H14" s="6">
        <f t="shared" si="3"/>
        <v>44150000</v>
      </c>
      <c r="I14" s="6">
        <f t="shared" si="3"/>
        <v>44150000</v>
      </c>
      <c r="J14" s="6">
        <f t="shared" si="3"/>
        <v>44150000</v>
      </c>
    </row>
    <row r="15" spans="1:11" ht="15.75">
      <c r="A15" s="5"/>
      <c r="B15" s="7" t="s">
        <v>36</v>
      </c>
      <c r="C15" s="6">
        <f>C14+C9</f>
        <v>96000000</v>
      </c>
      <c r="D15" s="6">
        <f>D14+D9</f>
        <v>44150000</v>
      </c>
      <c r="E15" s="6">
        <f t="shared" ref="E15:J15" si="4">E14+E9</f>
        <v>44150000</v>
      </c>
      <c r="F15" s="6">
        <f t="shared" si="4"/>
        <v>44150000</v>
      </c>
      <c r="G15" s="6">
        <f t="shared" si="4"/>
        <v>44150000</v>
      </c>
      <c r="H15" s="6">
        <f t="shared" si="4"/>
        <v>44150000</v>
      </c>
      <c r="I15" s="6">
        <f t="shared" si="4"/>
        <v>44150000</v>
      </c>
      <c r="J15" s="6">
        <f t="shared" si="4"/>
        <v>44150000</v>
      </c>
      <c r="K15" s="3">
        <f>SUM(C15:J15)</f>
        <v>405050000</v>
      </c>
    </row>
    <row r="16" spans="1:11" ht="15.75">
      <c r="A16" s="5"/>
      <c r="B16" s="5"/>
      <c r="C16" s="6"/>
      <c r="D16" s="6"/>
      <c r="E16" s="5"/>
      <c r="F16" s="5"/>
      <c r="G16" s="5"/>
      <c r="H16" s="5"/>
      <c r="I16" s="5"/>
    </row>
    <row r="17" spans="1:11" ht="15.75">
      <c r="A17" s="5" t="s">
        <v>37</v>
      </c>
      <c r="B17" s="5" t="s">
        <v>38</v>
      </c>
      <c r="C17" s="6"/>
      <c r="D17" s="6"/>
      <c r="E17" s="5"/>
      <c r="F17" s="5"/>
      <c r="G17" s="5"/>
      <c r="H17" s="5"/>
      <c r="I17" s="5"/>
    </row>
    <row r="18" spans="1:11" ht="15.75">
      <c r="A18" s="5"/>
      <c r="B18" s="5" t="s">
        <v>39</v>
      </c>
      <c r="C18" s="6"/>
      <c r="D18" s="6">
        <f>10*10*270*3500</f>
        <v>94500000</v>
      </c>
      <c r="E18" s="6">
        <f t="shared" ref="E18:J18" si="5">10*10*270*3500</f>
        <v>94500000</v>
      </c>
      <c r="F18" s="6">
        <f t="shared" si="5"/>
        <v>94500000</v>
      </c>
      <c r="G18" s="6">
        <f t="shared" si="5"/>
        <v>94500000</v>
      </c>
      <c r="H18" s="6">
        <f t="shared" si="5"/>
        <v>94500000</v>
      </c>
      <c r="I18" s="6">
        <f t="shared" si="5"/>
        <v>94500000</v>
      </c>
      <c r="J18" s="6">
        <f t="shared" si="5"/>
        <v>94500000</v>
      </c>
    </row>
    <row r="19" spans="1:11" ht="15.75">
      <c r="A19" s="5"/>
      <c r="B19" s="5" t="s">
        <v>40</v>
      </c>
      <c r="C19" s="6"/>
      <c r="D19" s="6"/>
      <c r="E19" s="5"/>
      <c r="F19" s="5"/>
      <c r="G19" s="5"/>
      <c r="H19" s="5"/>
      <c r="I19" s="5"/>
      <c r="J19">
        <f>10*5000000</f>
        <v>50000000</v>
      </c>
    </row>
    <row r="20" spans="1:11" ht="15.75">
      <c r="A20" s="5"/>
      <c r="B20" s="7" t="s">
        <v>41</v>
      </c>
      <c r="C20" s="6"/>
      <c r="D20" s="6">
        <f>D18+D19</f>
        <v>94500000</v>
      </c>
      <c r="E20" s="6">
        <f t="shared" ref="E20:J20" si="6">E18+E19</f>
        <v>94500000</v>
      </c>
      <c r="F20" s="6">
        <f t="shared" si="6"/>
        <v>94500000</v>
      </c>
      <c r="G20" s="6">
        <f t="shared" si="6"/>
        <v>94500000</v>
      </c>
      <c r="H20" s="6">
        <f t="shared" si="6"/>
        <v>94500000</v>
      </c>
      <c r="I20" s="6">
        <f t="shared" si="6"/>
        <v>94500000</v>
      </c>
      <c r="J20" s="6">
        <f t="shared" si="6"/>
        <v>144500000</v>
      </c>
      <c r="K20" s="3">
        <f>SUM(D20:J20)</f>
        <v>711500000</v>
      </c>
    </row>
    <row r="21" spans="1:11" ht="15.75">
      <c r="A21" s="5" t="s">
        <v>42</v>
      </c>
      <c r="B21" s="5" t="s">
        <v>43</v>
      </c>
      <c r="C21" s="6">
        <f>C20-C15</f>
        <v>-96000000</v>
      </c>
      <c r="D21" s="6">
        <f>D20-D15</f>
        <v>50350000</v>
      </c>
      <c r="E21" s="6">
        <f t="shared" ref="E21:J21" si="7">E20-E15</f>
        <v>50350000</v>
      </c>
      <c r="F21" s="6">
        <f t="shared" si="7"/>
        <v>50350000</v>
      </c>
      <c r="G21" s="6">
        <f t="shared" si="7"/>
        <v>50350000</v>
      </c>
      <c r="H21" s="6">
        <f t="shared" si="7"/>
        <v>50350000</v>
      </c>
      <c r="I21" s="6">
        <f t="shared" si="7"/>
        <v>50350000</v>
      </c>
      <c r="J21" s="6">
        <f t="shared" si="7"/>
        <v>100350000</v>
      </c>
    </row>
    <row r="22" spans="1:11" ht="15.75">
      <c r="A22" s="5"/>
      <c r="B22" s="5"/>
      <c r="C22" s="6"/>
      <c r="D22" s="6"/>
      <c r="E22" s="5"/>
      <c r="F22" s="5"/>
      <c r="G22" s="5"/>
      <c r="H22" s="5"/>
      <c r="I22" s="5"/>
    </row>
    <row r="23" spans="1:11" ht="15.75">
      <c r="A23" s="5"/>
      <c r="B23" s="5" t="s">
        <v>44</v>
      </c>
      <c r="C23" s="6">
        <f>NPV(0.2,C21:J21)</f>
        <v>82871064.72550869</v>
      </c>
      <c r="D23" s="6"/>
      <c r="E23" s="5"/>
      <c r="F23" s="5"/>
      <c r="G23" s="5"/>
      <c r="H23" s="5"/>
      <c r="I23" s="5"/>
    </row>
    <row r="24" spans="1:11" ht="15.75">
      <c r="B24" s="5" t="s">
        <v>45</v>
      </c>
      <c r="C24" s="8">
        <f>IRR(C21:J21)*100</f>
        <v>51.001942822008836</v>
      </c>
      <c r="D24" s="3"/>
    </row>
    <row r="25" spans="1:11" ht="15.75">
      <c r="B25" s="5" t="s">
        <v>46</v>
      </c>
      <c r="C25" s="8">
        <f>K20/K15</f>
        <v>1.7565732625601778</v>
      </c>
      <c r="D25" s="3"/>
    </row>
    <row r="26" spans="1:11" ht="15.75">
      <c r="B26" s="5" t="s">
        <v>47</v>
      </c>
      <c r="C26" s="8">
        <f>D26/-C21</f>
        <v>2.0358883090688584</v>
      </c>
      <c r="D26" s="3">
        <f>NPV(0.2,D21:J21)</f>
        <v>195445277.67061043</v>
      </c>
      <c r="E26" s="9"/>
    </row>
    <row r="27" spans="1:11" ht="15.75">
      <c r="B27" s="5" t="s">
        <v>48</v>
      </c>
      <c r="C27" s="8">
        <f>C9/E27</f>
        <v>3.4383025673945475</v>
      </c>
      <c r="D27" s="3">
        <f>NPV(0.2,D21:J21)</f>
        <v>195445277.67061043</v>
      </c>
      <c r="E27">
        <f>D27/7</f>
        <v>27920753.952944346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Wrg kelontong</vt:lpstr>
      <vt:lpstr>Sp Perah-awal</vt:lpstr>
      <vt:lpstr>SP-hrga pakan naik</vt:lpstr>
      <vt:lpstr>SP bunga naik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ujang</dc:creator>
  <cp:lastModifiedBy>Ujang</cp:lastModifiedBy>
  <dcterms:created xsi:type="dcterms:W3CDTF">2009-10-07T05:29:38Z</dcterms:created>
  <dcterms:modified xsi:type="dcterms:W3CDTF">2013-10-08T04:27:45Z</dcterms:modified>
</cp:coreProperties>
</file>